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C:\Users\Dell\Desktop\t9 CS TAM\DT THANG 9\"/>
    </mc:Choice>
  </mc:AlternateContent>
  <xr:revisionPtr revIDLastSave="0" documentId="13_ncr:1_{2A90D3EC-94A0-49B0-B05B-AD4836344CB9}" xr6:coauthVersionLast="36" xr6:coauthVersionMax="36" xr10:uidLastSave="{00000000-0000-0000-0000-000000000000}"/>
  <bookViews>
    <workbookView xWindow="-120" yWindow="-120" windowWidth="15600" windowHeight="11760" xr2:uid="{00000000-000D-0000-FFFF-FFFF00000000}"/>
  </bookViews>
  <sheets>
    <sheet name="2026-2030" sheetId="1" r:id="rId1"/>
  </sheets>
  <definedNames>
    <definedName name="_xlnm.Print_Area" localSheetId="0">'2026-2030'!$A$1:$I$13</definedName>
    <definedName name="_xlnm.Print_Titles" localSheetId="0">'2026-2030'!$5:$5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G13" i="1"/>
  <c r="F13" i="1"/>
  <c r="E13" i="1"/>
  <c r="D13" i="1"/>
  <c r="C13" i="1"/>
  <c r="G12" i="1"/>
  <c r="F12" i="1"/>
  <c r="E12" i="1"/>
  <c r="D12" i="1"/>
  <c r="C12" i="1"/>
  <c r="G11" i="1"/>
  <c r="F11" i="1"/>
  <c r="E11" i="1"/>
  <c r="D11" i="1"/>
  <c r="C11" i="1"/>
  <c r="G10" i="1"/>
  <c r="F10" i="1"/>
  <c r="E10" i="1"/>
  <c r="D10" i="1"/>
  <c r="C10" i="1"/>
  <c r="C9" i="1" l="1"/>
  <c r="G9" i="1"/>
  <c r="E9" i="1"/>
  <c r="D9" i="1"/>
  <c r="H13" i="1"/>
  <c r="F9" i="1"/>
  <c r="H8" i="1"/>
  <c r="H10" i="1"/>
  <c r="H11" i="1"/>
  <c r="H12" i="1"/>
  <c r="C7" i="1"/>
  <c r="C6" i="1" s="1"/>
  <c r="G7" i="1"/>
  <c r="G6" i="1" s="1"/>
  <c r="F7" i="1"/>
  <c r="F6" i="1" s="1"/>
  <c r="E7" i="1"/>
  <c r="E6" i="1" s="1"/>
  <c r="D7" i="1"/>
  <c r="D6" i="1" s="1"/>
  <c r="H7" i="1" l="1"/>
  <c r="H9" i="1" l="1"/>
  <c r="H6" i="1" s="1"/>
  <c r="Q11" i="1"/>
  <c r="Q12" i="1"/>
</calcChain>
</file>

<file path=xl/sharedStrings.xml><?xml version="1.0" encoding="utf-8"?>
<sst xmlns="http://schemas.openxmlformats.org/spreadsheetml/2006/main" count="99" uniqueCount="28">
  <si>
    <t>Phụ lục I</t>
  </si>
  <si>
    <t>-</t>
  </si>
  <si>
    <t>Bồi dưỡng chuyên môn, tập huấn nghiệp vụ cho mỗi huyện, tp 01 lớp. Mỗi lớp 25,7 triệu x 9 lớp tại 9 huyện, thị xã, TP .Trung bình mỗi lớp 50 học viên là các cộng tác viên dân số thôn bản, xã, phường, thị trấn tại 9 huyện, TP. Mỗi lớp 02 ngày. Nội dung chi: Tài liệu, VPP: 50 x 20.000đ = 1.000.000; Thuê hội trường 02 ngày x 2.000.000đ/ngày = 4.000.000; Market: 500.000đ; Hỗ trợ tiền ăn 50 người x 100.000/ngày x 02 ngày = 10.000.000, hỗ trợ đi lại 50 x 60.000 = 3.000.000; Tiền ngủ cho HV: trung bình 3 triệu đồng/lớp. chè nước 50 x 10.000đ x 2 ngày = 1.000.000; Thù lao GV 800.000đ/buổi x 02 buổi/ngày x 02 ngày = 3.200.000</t>
  </si>
  <si>
    <t>Bồi dưỡng chuyên môn, tập huấn nghiệp vụ cho mỗi huyện, tp 01 lớp. Mỗi lớp 12,1 triệu x 9 lớp tại 9 huyện, thị xã, TP .Trung bình mỗi lớp 50 học viên là viên chức dân số xã, phường, thị trấn và trưởng ban chỉ đạo , trưởng trạm y tế tại 9 huyện, TP. Mỗi lớp 02 ngày. Nội dung chi: Tài liệu, VPP: 50 x 20.000đ = 1.000.000; Thuê hội trường 02 ngày x 2.000.000đ/ngày = 4.000.000; Market: 500.000đ; chè nước 50 x 10.000đ x 2 ngày = 1.000.000; Thù lao GV 800.000đ/buổi x 02 buổi/ngày x 02 ngày = 3.200.000; Chi phụ cấp tiền ăn cho GV: 03 ngày x 02 người x 200.000đ = 1.200.000đ; tiền ngủ cho GV: 02 tối x 300.000 x 02 người = 1.200.000</t>
  </si>
  <si>
    <t>STT</t>
  </si>
  <si>
    <t>Nội dung hỗ trợ</t>
  </si>
  <si>
    <t>Năm 2026</t>
  </si>
  <si>
    <t>Năm 2027</t>
  </si>
  <si>
    <t>Năm 2028</t>
  </si>
  <si>
    <t>Năm 2029</t>
  </si>
  <si>
    <t>Năm 2030</t>
  </si>
  <si>
    <t>Ghi chú</t>
  </si>
  <si>
    <t xml:space="preserve"> Chi hỗ trợ cộng tác viên dân số</t>
  </si>
  <si>
    <t>Hỗ trợ chi phí thực hiện dịch vụ</t>
  </si>
  <si>
    <t xml:space="preserve">Tổng </t>
  </si>
  <si>
    <t>Tổng cộng</t>
  </si>
  <si>
    <t>Đặt và tháo dụng cụ tử cung (chưa bao gồm PTTT). Năm 2026: 1.707 người; năm 2027: 1.711 người; 2028: 1.717 người; 2029: 1.723 người; 2030: 1.726 người</t>
  </si>
  <si>
    <t>Triệt sản nữ:  Năm 2026: 18 người; 2027: 15 người; 2028: 13 người; 2029: 12 người; 2030: 11 người</t>
  </si>
  <si>
    <t>Cấy - tháo thuốc tránh thai (chưa bao gồm PTTT): Năm  2026: 121 người; 2027: 124 người; 2028: 127 người; 2029: 132 người; 2030: 135 người</t>
  </si>
  <si>
    <t>Tiêm thuốc tránh thai (chưa bao gồm phương tiện tránh thai): Năm 2026: 1.368 người; 2027: 1.387 người; 2028: 1.444 người; 2029: 1.479 người; 2030: 1.515 người. Dự kiến mỗi năm có 50% trong số đối tượng sử dụng thuốc tiêm là người mới sử dụng cần phải được khám phụ khoa (2026 là 684 người; 2027 là 694 người; 2028 là 722 người; 2029 là 739 người; 2030 là 757 người(</t>
  </si>
  <si>
    <t>Căn cứ mục tiêu hàng năm về số phụ nữ trong độ tuổi sinh đẻ mới sử dụng BPTTHĐ (năm 2026 là 94.412 người (YB 51.598, LC 42.813); năm 2027 là 96.281 (YB52.418, LC 43.862) người; năm 2028 là 98.179 người (YB 53.258, 44.920); năm 2029 là 100.142 (YB 54.138, LC 46.004) người; năm 2030 là 102.130 người (YB054.972, LC 47.050). Tổng 5 năm là 491.143 người (YB 266.384, LC 224.649), trong đó người sử dụng DCTC là 55.583 chiếm 11,32%). Cụ thể: Năm 2026 chỉ tiêu 11.012 người, trong đó địa phương hỗ trợ 1707 người; Năm 2027 chỉ tiêu 11.066 người, trong đó địa phương hỗ trợ 1.711. người; Năm 2028 chỉ tiêu 11.114 người, trong đó địa phương hỗ trợ 1.717 người; Năm 2029 chỉ tiêu 11.713 người,trong đó địa phương hỗ trợ 1.723 người; Năm 2030 chỉ tiêu 11.218 người, trong đó địa phương hỗ trợ 1.726 người. Đặt và tháo dụng cụ tử cung: 252.500đ/người  (chưa bao gồm PTTT)  Giá theo STT 8455/PLIII.1/NQ79. Tỷ lệ địa phương hỗ trợ cho người thuộc hộ nghèo, cận nghèo theo QĐ số 2535/QĐ-UBND của UBND tỉnh Yên Bái ngày 10/12/2024 là 8,67%, QĐ 3482/QĐ-UBND của UBND tỉnh Lào Cai ngày 23/12/2024 là 21,18%</t>
  </si>
  <si>
    <t xml:space="preserve"> Căn cứ mục tiêu hàng năm về số phụ nữ trong độ tuổi sinh đẻ mới sử dụng BPTTHĐ (năm 2026 là 94.412 người (YB 51.598, LC 42.813); năm 2027 là 96.281 (YB52.418, LC 43.862) người; năm 2028 là 98.179 người (YB 53.258, 44.920); năm 2029 là 100.142 (YB 54.138, LC 46.004) người; năm 2030 là 102.130 người (YB054.972, LC 47.050). Tổng 5 năm là 491.143 người (YB 266.384, LC 224.649), trong đó người triệt sản là 442 người trong 5 năm chiếm  khoảng 0,1%). Cụ thể: Năm 2026 chỉ tiêu 102 người, trong đó địa phương hỗ trợ là 18 người; năm 2027 chỉ tiêu 95 người, trong đó địa phương hỗ trợ là 15 người; năm 2028 chỉ tiêu 88 người, trong đó địa phương hỗ trợ là 13 người; năm 2029 chỉ tiêu 82 người, trong đó địa phương hỗ trợ là 12 người; năm 2030 chỉ tiêu 75 người, trong đó địa phương hỗ trợ là 11 người; Giá dịch vụ kỹ thuật: 4.583.700 đồngđ/người bao gồm: Khám lâm sàng 45.000 đồng/người STT 1/PLI/NQ 79 + triệt sản nữ qua đường rạch nhỏ 3.191.000 đồng/người STT 5134/PLIII.1/NQ79 + Siêu âm 58.600 đồng STT 22/PLIII.2/NQ79 + Giường bệnh 5 ngày STT 3.2/PLII/NQ79 là 222.300 đồng x 5 = 1.111.500 đồng + Xét nghiệm máu đông 13.600 đồng STT 7224/PLIII.1/NQ79 + Xét ngiệm thời gian máu chảy 13.600 đồng SST 7226/PLIII.1/NQ79 + XN tổng phân tích tế bào máu ngoại vi 49.700 đồng STT 7.247/PLIII.1/NQ79 + XN định nhóm máu ABO 42.100 đồng STT 7113/PLIII.1/NQ79 + XN HIV 58.600 đồng STT 7639/PLIII.1/NQ79). Tỷ lệ địa phương hỗ trợ cho người thuộc hộ nghèo, cận nghèo theo QĐ số 2535/QĐ-UBND của UBND tỉnh Yên Bái ngày 10/12/2024 là 8,67%, QĐ 3482/QĐ-UBND của UBND tỉnh Lào Cai ngày 23/12/2024 là 21,18%. </t>
  </si>
  <si>
    <t>Căn cứ mục tiêu hàng năm về số phụ nữ trong độ tuổi sinh đẻ mới sử dụng BPTTHĐ (năm 2026 là 94.412 người (YB 51.598, LC 42.813); năm 2027 là 96.281 (YB52.418, LC 43.862) người; năm 2028 là 98.179 người (YB 53.258, 44.920); năm 2029 là 100.142 (YB 54.138, LC 46.004) người; năm 2030 là 102.130 người (YB054.972, LC 47.050). Tổng 5 năm là 491.143 người (YB 266.384, LC 224.649), trong đó người sử dụng thuốc cấy tránh thai là 3350 người chiếm khoảng 1%). Cụ thể: Năm 2026 chỉ tiêu 628 người, trong đó địa phương hỗ trợ 121 người; Năm 2027 chỉ tiêu 642 người, trong đó địa phương hỗ trợ 124 người; Năm 2028 chỉ tiêu 659 người,trong đó địa phương hỗ trợ 127 người; Năm 2029 chỉ tiêu 705 người, trong đó địa phương hỗ trợ 132 người; Năm 2030 chỉ tiêu 716 người, trong đó địa phương hỗ trợ 135 người.
Cấy - tháo thuốc tránh thai: 528.500 đồng/người (chưa bao gồm PTTT). Giá bao gồm: Cấy - tháo thuốc tránh thai 251.400 đồng STT 8451/PLIII.1/NQ79 + Khám 45.000 đồng STT 1/PLI/NQ79 + Siêu âm 58.600 đồng STT 22/PLIII.2/NQ79 + XN tổng phân tích tế bào máu ngoại vi 49.700 đồng STT 7247/PLIII.1/NQ79 + XN HIV 58.600 đồng STT 7639/PLIII.1/NQ79 + XN gan B 65.200 đồng STT 7687/PLIII.1/NQ79).                          Tỷ lệ địa phương hỗ trợ cho người thuộc hộ nghèo, cận nghèo theo QĐ số 2535/QĐ-UBND của UBND tỉnh Yên Bái ngày 10/12/2024 là 8,67%, QĐ 3482/QĐ-UBND của UBND tỉnh Lào Cai ngày 23/12/2024 là 21,18%</t>
  </si>
  <si>
    <t>Căn cứ mục tiêu hàng năm về số phụ nữ trong độ tuổi sinh đẻ mới sử dụng BPTTHĐ (năm 2026 là 94.412 người (YB 51.598, LC 42.813); năm 2027 là 96.281 (YB52.418, LC 43.862) người; năm 2028 là 98.179 người (YB 53.258, 44.920); năm 2029 là 100.142 (YB 54.138, LC 46.004) người; năm 2030 là 102.130 người (YB054.972, LC 47.050). Tổng 5 năm là 491.143 người (YB 266.384, LC 224.649), trong đó người sử dụng thuốc tiêm trám thai là 35.595 (chiếm khoảng 8%). Dự kiến mỗi năm có 50% trong số đối tượng sử dụng thuốc tiêm là người mới sử dụng cần phải được khám phụ khoa. Cụ thể: Năm 2026 chỉ tiêu 6.732 người, trong đó địa phương hỗ trợ là 1.368 người; Năm 2027 chỉ tiêu 6.923 người, trong đó địa phương hỗ trợ là 1.387 người; Năm 2028 chỉ tiêu 7.123 người, trong đó địa phương hỗ trợ là 1.444 người; Năm 2029 chỉ tiêu 7.313 người,trong đó địa phương hỗ trợ là 1.479 người; Năm 2030 chỉ tiêu 7.504 người, trong đó địa phương hỗ trợ là 1.515 người. Tiêm thuốc tránh thai: 60.400 đ/người (chưa bao gồm phương tiện tránh thai) Giá theo STT 908/PLIII.2/NQ79 x 4 mũi. Dự kiến mỗi năm có 50% trong số đối tượng sử dụng thuốc tiêm là người mới sử dụng cần phải được khám phụ khoa (45.000 đồng/người) giá khám bệnh theo PLI/NQ79. Tỷ lệ địa phương hỗ trợ cho người thuộc hộ nghèo, cận nghèo theo QĐ số 2535/QĐ-UBND của UBND tỉnh Yên Bái ngày 10/12/2024 là 8,67%, QĐ 3482/QĐ-UBND của UBND tỉnh Lào Cai ngày 23/12/2024 là 21,18%</t>
  </si>
  <si>
    <t xml:space="preserve"> Căn cứ Điều 3, Thông tư 02/2021/TT-BYT ngày 25/01/2021 của Bộ Y tế Quy định tiêu chuẩn, nhiệm vụ của cộng tác viên dân số; Khoản 1 Điều 40 nghị định số 76/2023/NĐ-CP quy định chi tiết một số điều của Luật phòng chống bạo lực gia đình. Đề xuất hưởng 200.000 đồng/người/tháng tương đương mức hỗ trợ YTTB kiêm CTVDS tại thôn bản theo Nghị quyết số 11/2021/NQ-HĐND ngày 19/4/2021 của HĐND tỉnh Yên Bái  ban hành chính sách về công tác Dân số - KHHGĐ tại các xã, thôn, bản đặc biệt khó khăn trên địa bàn tỉnh Yên Bái giai đoạn 2021-2025</t>
  </si>
  <si>
    <t>Chi thù lao cộng tác viên dân số tại tổ dân phố, thôn bản chưa có nhân viên y tế thôn bản: hỗ trợ YTTB kiêm CTVDS tại thôn bản tổng 2.908 người</t>
  </si>
  <si>
    <t xml:space="preserve">NHU CẦU KINH PHÍ ĐỊA PHƯƠNG THỰC HIỆN CÔNG TÁC DÂN SỐ VÀ PHÁT TRIỂN GIAI ĐOẠN 2026-2030                                                  </t>
  </si>
  <si>
    <t>Phụ lục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</si>
</sst>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_);_(@_)"/>
    <numFmt numFmtId="166" formatCode="_(* #,##0.0_);_(* \(#,##0.0\);_(* &quot;-&quot;??_);_(@_)"/>
  </numFmts>
  <fonts count="16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.VnTime"/>
      <family val="2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2"/>
      <name val=".VnArial"/>
      <family val="2"/>
    </font>
    <font>
      <sz val="12"/>
      <color indexed="8"/>
      <name val="Times New Roman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/>
    <xf numFmtId="0" fontId="11" fillId="0" borderId="0"/>
    <xf numFmtId="0" fontId="12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3" fillId="2" borderId="0" xfId="2" applyFont="1" applyFill="1"/>
    <xf numFmtId="0" fontId="7" fillId="2" borderId="1" xfId="4" quotePrefix="1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vertical="center" wrapText="1"/>
    </xf>
    <xf numFmtId="0" fontId="8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8" fillId="2" borderId="0" xfId="2" applyFont="1" applyFill="1"/>
    <xf numFmtId="166" fontId="7" fillId="2" borderId="1" xfId="1" applyNumberFormat="1" applyFont="1" applyFill="1" applyBorder="1" applyAlignment="1">
      <alignment horizontal="center" vertical="center" wrapText="1"/>
    </xf>
    <xf numFmtId="166" fontId="9" fillId="2" borderId="0" xfId="1" applyNumberFormat="1" applyFont="1" applyFill="1"/>
    <xf numFmtId="0" fontId="3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/>
    </xf>
    <xf numFmtId="165" fontId="13" fillId="2" borderId="0" xfId="2" applyNumberFormat="1" applyFont="1" applyFill="1" applyAlignment="1">
      <alignment horizontal="center" vertical="center"/>
    </xf>
    <xf numFmtId="166" fontId="13" fillId="2" borderId="0" xfId="2" applyNumberFormat="1" applyFont="1" applyFill="1" applyAlignment="1">
      <alignment horizontal="center" vertical="center"/>
    </xf>
    <xf numFmtId="165" fontId="10" fillId="2" borderId="0" xfId="2" applyNumberFormat="1" applyFont="1" applyFill="1" applyAlignment="1">
      <alignment horizontal="center" vertical="center"/>
    </xf>
    <xf numFmtId="165" fontId="8" fillId="2" borderId="0" xfId="2" applyNumberFormat="1" applyFont="1" applyFill="1" applyAlignment="1">
      <alignment horizontal="center" vertical="center"/>
    </xf>
    <xf numFmtId="166" fontId="7" fillId="2" borderId="0" xfId="1" applyNumberFormat="1" applyFont="1" applyFill="1" applyBorder="1" applyAlignment="1">
      <alignment horizontal="center" vertical="center" wrapText="1"/>
    </xf>
    <xf numFmtId="166" fontId="13" fillId="2" borderId="1" xfId="1" applyNumberFormat="1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vertical="center" wrapText="1"/>
    </xf>
    <xf numFmtId="0" fontId="14" fillId="2" borderId="1" xfId="3" applyFont="1" applyFill="1" applyBorder="1" applyAlignment="1">
      <alignment horizontal="center" vertical="center" wrapText="1"/>
    </xf>
    <xf numFmtId="166" fontId="14" fillId="2" borderId="1" xfId="1" applyNumberFormat="1" applyFont="1" applyFill="1" applyBorder="1" applyAlignment="1">
      <alignment horizontal="center" vertical="center" wrapText="1"/>
    </xf>
    <xf numFmtId="164" fontId="14" fillId="2" borderId="1" xfId="1" applyNumberFormat="1" applyFont="1" applyFill="1" applyBorder="1" applyAlignment="1">
      <alignment horizontal="center" vertical="center" wrapText="1"/>
    </xf>
    <xf numFmtId="165" fontId="13" fillId="2" borderId="1" xfId="2" applyNumberFormat="1" applyFont="1" applyFill="1" applyBorder="1" applyAlignment="1">
      <alignment vertical="center"/>
    </xf>
    <xf numFmtId="0" fontId="14" fillId="2" borderId="1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left" vertical="center" wrapText="1"/>
    </xf>
    <xf numFmtId="164" fontId="14" fillId="2" borderId="1" xfId="2" applyNumberFormat="1" applyFont="1" applyFill="1" applyBorder="1" applyAlignment="1">
      <alignment vertical="center"/>
    </xf>
    <xf numFmtId="0" fontId="13" fillId="2" borderId="1" xfId="2" quotePrefix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165" fontId="14" fillId="2" borderId="1" xfId="2" applyNumberFormat="1" applyFont="1" applyFill="1" applyBorder="1" applyAlignment="1">
      <alignment horizontal="left" vertical="center" wrapText="1"/>
    </xf>
    <xf numFmtId="49" fontId="13" fillId="2" borderId="1" xfId="5" applyNumberFormat="1" applyFont="1" applyFill="1" applyBorder="1" applyAlignment="1">
      <alignment horizontal="center" vertical="center"/>
    </xf>
    <xf numFmtId="165" fontId="13" fillId="2" borderId="1" xfId="2" applyNumberFormat="1" applyFont="1" applyFill="1" applyBorder="1" applyAlignment="1">
      <alignment horizontal="left" vertical="center" wrapText="1"/>
    </xf>
    <xf numFmtId="0" fontId="13" fillId="2" borderId="1" xfId="6" applyFont="1" applyFill="1" applyBorder="1" applyAlignment="1">
      <alignment horizontal="left" vertical="center" wrapText="1"/>
    </xf>
    <xf numFmtId="0" fontId="2" fillId="2" borderId="0" xfId="2" applyFont="1" applyFill="1" applyAlignment="1">
      <alignment horizontal="center"/>
    </xf>
    <xf numFmtId="0" fontId="14" fillId="2" borderId="2" xfId="3" applyFont="1" applyFill="1" applyBorder="1" applyAlignment="1">
      <alignment horizontal="center" vertical="center" wrapText="1"/>
    </xf>
    <xf numFmtId="0" fontId="14" fillId="2" borderId="3" xfId="3" applyFont="1" applyFill="1" applyBorder="1" applyAlignment="1">
      <alignment horizontal="center" vertical="center" wrapText="1"/>
    </xf>
    <xf numFmtId="0" fontId="15" fillId="2" borderId="0" xfId="3" applyFont="1" applyFill="1" applyAlignment="1">
      <alignment horizontal="center" vertical="center" wrapText="1"/>
    </xf>
  </cellXfs>
  <cellStyles count="8">
    <cellStyle name="Comma" xfId="1" builtinId="3"/>
    <cellStyle name="Comma 3" xfId="7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5" xfId="3" xr:uid="{00000000-0005-0000-0000-000005000000}"/>
    <cellStyle name="Normal_Bieu de nghi ho tro KP ( Loan gui Bs Hung)(1)" xfId="5" xr:uid="{00000000-0005-0000-0000-000006000000}"/>
    <cellStyle name="Normal_KINH PHÍ THỰC HIỆN BPTT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78"/>
  <sheetViews>
    <sheetView tabSelected="1" zoomScaleSheetLayoutView="90" workbookViewId="0">
      <selection activeCell="I6" sqref="I6"/>
    </sheetView>
  </sheetViews>
  <sheetFormatPr defaultColWidth="9.140625" defaultRowHeight="18.75"/>
  <cols>
    <col min="1" max="1" width="4.140625" style="1" customWidth="1"/>
    <col min="2" max="2" width="23" style="1" customWidth="1"/>
    <col min="3" max="3" width="9" style="9" customWidth="1"/>
    <col min="4" max="4" width="8.7109375" style="9" customWidth="1"/>
    <col min="5" max="5" width="7.85546875" style="9" customWidth="1"/>
    <col min="6" max="6" width="8.140625" style="9" customWidth="1"/>
    <col min="7" max="7" width="9.7109375" style="9" customWidth="1"/>
    <col min="8" max="8" width="9.140625" style="9" customWidth="1"/>
    <col min="9" max="9" width="54.7109375" style="7" customWidth="1"/>
    <col min="10" max="16" width="9.140625" style="1" hidden="1" customWidth="1"/>
    <col min="17" max="17" width="20.7109375" style="1" customWidth="1"/>
    <col min="18" max="18" width="11.5703125" style="1" customWidth="1"/>
    <col min="19" max="16384" width="9.140625" style="1"/>
  </cols>
  <sheetData>
    <row r="1" spans="1:19">
      <c r="A1" s="33" t="s">
        <v>27</v>
      </c>
      <c r="B1" s="33"/>
      <c r="C1" s="33"/>
      <c r="D1" s="33"/>
      <c r="E1" s="33"/>
      <c r="F1" s="33"/>
      <c r="G1" s="33"/>
      <c r="H1" s="33"/>
      <c r="I1" s="33"/>
    </row>
    <row r="2" spans="1:19" s="10" customFormat="1" ht="36" customHeight="1">
      <c r="A2" s="36" t="s">
        <v>26</v>
      </c>
      <c r="B2" s="36"/>
      <c r="C2" s="36"/>
      <c r="D2" s="36"/>
      <c r="E2" s="36"/>
      <c r="F2" s="36"/>
      <c r="G2" s="36"/>
      <c r="H2" s="36"/>
      <c r="I2" s="36"/>
    </row>
    <row r="3" spans="1:19" s="5" customFormat="1" ht="204" hidden="1" customHeight="1">
      <c r="A3" s="2" t="s">
        <v>1</v>
      </c>
      <c r="B3" s="3" t="s">
        <v>2</v>
      </c>
      <c r="C3" s="8"/>
      <c r="D3" s="8"/>
      <c r="E3" s="8"/>
      <c r="F3" s="8"/>
      <c r="G3" s="8"/>
      <c r="H3" s="16"/>
      <c r="I3" s="4"/>
    </row>
    <row r="4" spans="1:19" s="5" customFormat="1" ht="13.5" hidden="1" customHeight="1">
      <c r="A4" s="2" t="s">
        <v>1</v>
      </c>
      <c r="B4" s="3" t="s">
        <v>3</v>
      </c>
      <c r="C4" s="8"/>
      <c r="D4" s="8"/>
      <c r="E4" s="8"/>
      <c r="F4" s="8"/>
      <c r="G4" s="8"/>
      <c r="H4" s="16"/>
      <c r="I4" s="4"/>
    </row>
    <row r="5" spans="1:19" s="4" customFormat="1" ht="34.5" customHeight="1">
      <c r="A5" s="18" t="s">
        <v>4</v>
      </c>
      <c r="B5" s="19" t="s">
        <v>5</v>
      </c>
      <c r="C5" s="20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15</v>
      </c>
      <c r="I5" s="19" t="s">
        <v>11</v>
      </c>
    </row>
    <row r="6" spans="1:19" s="4" customFormat="1" ht="21.75" customHeight="1">
      <c r="A6" s="34" t="s">
        <v>14</v>
      </c>
      <c r="B6" s="35"/>
      <c r="C6" s="20">
        <f>C7+C9</f>
        <v>7670.0798000000004</v>
      </c>
      <c r="D6" s="20">
        <f t="shared" ref="D6:H6" si="0">D7+D9</f>
        <v>7660.5218000000004</v>
      </c>
      <c r="E6" s="20">
        <f t="shared" si="0"/>
        <v>7659.1577000000007</v>
      </c>
      <c r="F6" s="20">
        <f t="shared" si="0"/>
        <v>7661.6555000000008</v>
      </c>
      <c r="G6" s="20">
        <f t="shared" si="0"/>
        <v>7662.3992000000007</v>
      </c>
      <c r="H6" s="20">
        <f t="shared" si="0"/>
        <v>38313.813999999998</v>
      </c>
      <c r="I6" s="22"/>
      <c r="Q6" s="15"/>
    </row>
    <row r="7" spans="1:19" s="4" customFormat="1" ht="25.5" customHeight="1">
      <c r="A7" s="23">
        <v>1</v>
      </c>
      <c r="B7" s="24" t="s">
        <v>12</v>
      </c>
      <c r="C7" s="20">
        <f t="shared" ref="C7:G7" si="1">C8</f>
        <v>6979.2000000000007</v>
      </c>
      <c r="D7" s="20">
        <f t="shared" si="1"/>
        <v>6979.2000000000007</v>
      </c>
      <c r="E7" s="20">
        <f t="shared" si="1"/>
        <v>6979.2000000000007</v>
      </c>
      <c r="F7" s="20">
        <f t="shared" si="1"/>
        <v>6979.2000000000007</v>
      </c>
      <c r="G7" s="20">
        <f t="shared" si="1"/>
        <v>6979.2000000000007</v>
      </c>
      <c r="H7" s="20">
        <f t="shared" ref="H7:H8" si="2">C7+D7+E7+F7+G7</f>
        <v>34896</v>
      </c>
      <c r="I7" s="25"/>
      <c r="Q7" s="15"/>
    </row>
    <row r="8" spans="1:19" s="4" customFormat="1" ht="102.75" customHeight="1">
      <c r="A8" s="26" t="s">
        <v>1</v>
      </c>
      <c r="B8" s="27" t="s">
        <v>25</v>
      </c>
      <c r="C8" s="17">
        <f xml:space="preserve"> 2908*0.2*12</f>
        <v>6979.2000000000007</v>
      </c>
      <c r="D8" s="17">
        <f xml:space="preserve"> 2908*0.2*12</f>
        <v>6979.2000000000007</v>
      </c>
      <c r="E8" s="17">
        <f xml:space="preserve"> 2908*0.2*12</f>
        <v>6979.2000000000007</v>
      </c>
      <c r="F8" s="17">
        <f xml:space="preserve"> 2908*0.2*12</f>
        <v>6979.2000000000007</v>
      </c>
      <c r="G8" s="17">
        <f xml:space="preserve"> 2908*0.2*12</f>
        <v>6979.2000000000007</v>
      </c>
      <c r="H8" s="20">
        <f t="shared" si="2"/>
        <v>34896</v>
      </c>
      <c r="I8" s="28" t="s">
        <v>24</v>
      </c>
      <c r="Q8" s="15"/>
    </row>
    <row r="9" spans="1:19" s="6" customFormat="1" ht="27" customHeight="1">
      <c r="A9" s="23">
        <v>2</v>
      </c>
      <c r="B9" s="24" t="s">
        <v>13</v>
      </c>
      <c r="C9" s="20">
        <f>C10+C11+C12+C13</f>
        <v>690.87979999999993</v>
      </c>
      <c r="D9" s="20">
        <f t="shared" ref="D9:G9" si="3">D10+D11+D12+D13</f>
        <v>681.32180000000005</v>
      </c>
      <c r="E9" s="20">
        <f t="shared" si="3"/>
        <v>679.95769999999993</v>
      </c>
      <c r="F9" s="20">
        <f t="shared" si="3"/>
        <v>682.45550000000014</v>
      </c>
      <c r="G9" s="20">
        <f t="shared" si="3"/>
        <v>683.19920000000002</v>
      </c>
      <c r="H9" s="29">
        <f t="shared" ref="H9:H12" si="4">C9+D9+E9+F9+G9</f>
        <v>3417.8139999999999</v>
      </c>
      <c r="I9" s="30"/>
      <c r="Q9" s="14"/>
    </row>
    <row r="10" spans="1:19" s="11" customFormat="1" ht="190.5" customHeight="1">
      <c r="A10" s="26" t="s">
        <v>1</v>
      </c>
      <c r="B10" s="32" t="s">
        <v>16</v>
      </c>
      <c r="C10" s="17">
        <f>1707*0.2525</f>
        <v>431.01749999999998</v>
      </c>
      <c r="D10" s="17">
        <f>1711*0.2525</f>
        <v>432.02750000000003</v>
      </c>
      <c r="E10" s="17">
        <f>1717*0.2525</f>
        <v>433.54250000000002</v>
      </c>
      <c r="F10" s="17">
        <f>1723*0.2525</f>
        <v>435.0575</v>
      </c>
      <c r="G10" s="17">
        <f>1726*0.2525</f>
        <v>435.815</v>
      </c>
      <c r="H10" s="31">
        <f t="shared" si="4"/>
        <v>2167.46</v>
      </c>
      <c r="I10" s="32" t="s">
        <v>20</v>
      </c>
      <c r="Q10" s="12"/>
      <c r="R10" s="12"/>
      <c r="S10" s="13"/>
    </row>
    <row r="11" spans="1:19" s="11" customFormat="1" ht="287.25" customHeight="1">
      <c r="A11" s="26" t="s">
        <v>1</v>
      </c>
      <c r="B11" s="32" t="s">
        <v>17</v>
      </c>
      <c r="C11" s="17">
        <f>18*4.5837</f>
        <v>82.506600000000006</v>
      </c>
      <c r="D11" s="17">
        <f>15*4.5837</f>
        <v>68.755500000000012</v>
      </c>
      <c r="E11" s="17">
        <f>13*4.5837</f>
        <v>59.588100000000004</v>
      </c>
      <c r="F11" s="17">
        <f>12*4.5837</f>
        <v>55.004400000000004</v>
      </c>
      <c r="G11" s="17">
        <f>11*4.5837</f>
        <v>50.420700000000004</v>
      </c>
      <c r="H11" s="31">
        <f t="shared" si="4"/>
        <v>316.27530000000002</v>
      </c>
      <c r="I11" s="32" t="s">
        <v>21</v>
      </c>
      <c r="Q11" s="12">
        <f>Q9+Q10+R10+S10</f>
        <v>0</v>
      </c>
    </row>
    <row r="12" spans="1:19" s="11" customFormat="1" ht="252" customHeight="1">
      <c r="A12" s="26" t="s">
        <v>1</v>
      </c>
      <c r="B12" s="32" t="s">
        <v>18</v>
      </c>
      <c r="C12" s="17">
        <f>121*0.5285</f>
        <v>63.948499999999996</v>
      </c>
      <c r="D12" s="17">
        <f>124*0.5285</f>
        <v>65.533999999999992</v>
      </c>
      <c r="E12" s="17">
        <f>127*0.5285</f>
        <v>67.119500000000002</v>
      </c>
      <c r="F12" s="17">
        <f>132*0.5285</f>
        <v>69.762</v>
      </c>
      <c r="G12" s="17">
        <f>135*0.5285</f>
        <v>71.347499999999997</v>
      </c>
      <c r="H12" s="31">
        <f t="shared" si="4"/>
        <v>337.7115</v>
      </c>
      <c r="I12" s="32" t="s">
        <v>22</v>
      </c>
      <c r="Q12" s="11">
        <f ca="1">Q12:Q13</f>
        <v>0</v>
      </c>
    </row>
    <row r="13" spans="1:19" s="11" customFormat="1" ht="229.5" customHeight="1">
      <c r="A13" s="26" t="s">
        <v>1</v>
      </c>
      <c r="B13" s="32" t="s">
        <v>19</v>
      </c>
      <c r="C13" s="17">
        <f>1368*0.0604+684*0.045</f>
        <v>113.4072</v>
      </c>
      <c r="D13" s="17">
        <f>1387*0.0604+694*0.045</f>
        <v>115.0048</v>
      </c>
      <c r="E13" s="17">
        <f>1444*0.0604+722*0.045</f>
        <v>119.70760000000001</v>
      </c>
      <c r="F13" s="17">
        <f>1479*0.0604+740*0.045</f>
        <v>122.63160000000001</v>
      </c>
      <c r="G13" s="17">
        <f>1515*0.0604+758*0.045</f>
        <v>125.616</v>
      </c>
      <c r="H13" s="31">
        <f>C13+D13+E13+F13+G13</f>
        <v>596.36720000000003</v>
      </c>
      <c r="I13" s="32" t="s">
        <v>23</v>
      </c>
    </row>
    <row r="14" spans="1:19" ht="12.75" customHeight="1"/>
    <row r="15" spans="1:19" ht="12.75" customHeight="1"/>
    <row r="16" spans="1:19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</sheetData>
  <mergeCells count="3">
    <mergeCell ref="A1:I1"/>
    <mergeCell ref="A2:I2"/>
    <mergeCell ref="A6:B6"/>
  </mergeCells>
  <pageMargins left="0.24" right="0.16" top="0.31" bottom="0.23" header="0.2800000000000000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2026-2030</vt:lpstr>
      <vt:lpstr>'2026-2030'!Print_Area</vt:lpstr>
      <vt:lpstr>'2026-2030'!Print_Titles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2025-09-23T00:58:39Z</cp:lastPrinted>
  <dcterms:created xsi:type="dcterms:W3CDTF">2024-05-09T08:55:22Z</dcterms:created>
  <dcterms:modified xsi:type="dcterms:W3CDTF">2025-10-02T01:42:57Z</dcterms:modified>
</cp:coreProperties>
</file>